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ocuments\Escuela\01. Administra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1" i="1"/>
  <c r="K37" i="1"/>
  <c r="K33" i="1"/>
  <c r="K28" i="1"/>
  <c r="L26" i="1"/>
  <c r="J25" i="1"/>
  <c r="E4" i="1"/>
  <c r="F4" i="1"/>
  <c r="G4" i="1"/>
  <c r="H4" i="1"/>
  <c r="I4" i="1"/>
  <c r="E5" i="1"/>
  <c r="H5" i="1" s="1"/>
  <c r="G5" i="1"/>
  <c r="I5" i="1"/>
  <c r="I9" i="1" s="1"/>
  <c r="E6" i="1"/>
  <c r="I6" i="1"/>
  <c r="E7" i="1"/>
  <c r="E8" i="1"/>
  <c r="G8" i="1" s="1"/>
  <c r="F8" i="1"/>
  <c r="H8" i="1"/>
  <c r="I8" i="1"/>
  <c r="J8" i="1"/>
  <c r="I13" i="1"/>
  <c r="I14" i="1"/>
  <c r="I15" i="1" s="1"/>
  <c r="E24" i="1"/>
  <c r="C28" i="1"/>
  <c r="E28" i="1" s="1"/>
  <c r="E33" i="1"/>
  <c r="E34" i="1"/>
  <c r="E35" i="1"/>
  <c r="E36" i="1"/>
  <c r="E47" i="1" s="1"/>
  <c r="E37" i="1"/>
  <c r="E38" i="1"/>
  <c r="E39" i="1"/>
  <c r="E40" i="1"/>
  <c r="E41" i="1"/>
  <c r="E42" i="1"/>
  <c r="E43" i="1"/>
  <c r="E44" i="1"/>
  <c r="E45" i="1"/>
  <c r="E46" i="1"/>
  <c r="D47" i="1"/>
  <c r="C63" i="1"/>
  <c r="D63" i="1"/>
  <c r="E63" i="1"/>
  <c r="F63" i="1"/>
  <c r="G63" i="1"/>
  <c r="H63" i="1"/>
  <c r="I63" i="1"/>
  <c r="J63" i="1"/>
  <c r="K63" i="1"/>
  <c r="L63" i="1"/>
  <c r="M63" i="1"/>
  <c r="N63" i="1"/>
  <c r="E79" i="1"/>
  <c r="G79" i="1"/>
  <c r="I79" i="1"/>
  <c r="K79" i="1"/>
  <c r="C87" i="1"/>
  <c r="C96" i="1"/>
  <c r="C98" i="1"/>
  <c r="D98" i="1"/>
  <c r="C99" i="1"/>
  <c r="H99" i="1"/>
  <c r="I16" i="1" l="1"/>
  <c r="C79" i="1" s="1"/>
  <c r="F64" i="1"/>
  <c r="J64" i="1"/>
  <c r="N64" i="1"/>
  <c r="C64" i="1"/>
  <c r="G64" i="1"/>
  <c r="K64" i="1"/>
  <c r="D64" i="1"/>
  <c r="H64" i="1"/>
  <c r="L64" i="1"/>
  <c r="M64" i="1"/>
  <c r="E64" i="1"/>
  <c r="I64" i="1"/>
  <c r="E58" i="1"/>
  <c r="I58" i="1"/>
  <c r="M58" i="1"/>
  <c r="F58" i="1"/>
  <c r="J58" i="1"/>
  <c r="N58" i="1"/>
  <c r="C58" i="1"/>
  <c r="G58" i="1"/>
  <c r="K58" i="1"/>
  <c r="L58" i="1"/>
  <c r="C73" i="1"/>
  <c r="H58" i="1"/>
  <c r="D58" i="1"/>
  <c r="F28" i="1"/>
  <c r="F29" i="1" s="1"/>
  <c r="E29" i="1"/>
  <c r="G9" i="1"/>
  <c r="F39" i="1" s="1"/>
  <c r="F24" i="1"/>
  <c r="F25" i="1" s="1"/>
  <c r="E25" i="1"/>
  <c r="H39" i="1"/>
  <c r="I78" i="1"/>
  <c r="G90" i="1" s="1"/>
  <c r="E98" i="1"/>
  <c r="D99" i="1"/>
  <c r="F6" i="1"/>
  <c r="J6" i="1"/>
  <c r="G6" i="1"/>
  <c r="H6" i="1"/>
  <c r="H9" i="1" s="1"/>
  <c r="J5" i="1"/>
  <c r="F5" i="1"/>
  <c r="F9" i="1" s="1"/>
  <c r="E9" i="1"/>
  <c r="G39" i="1" l="1"/>
  <c r="G78" i="1"/>
  <c r="F90" i="1" s="1"/>
  <c r="E78" i="1"/>
  <c r="E90" i="1" s="1"/>
  <c r="C78" i="1"/>
  <c r="D90" i="1" s="1"/>
  <c r="D73" i="1"/>
  <c r="E73" i="1"/>
  <c r="J9" i="1"/>
  <c r="I39" i="1" s="1"/>
  <c r="K78" i="1" s="1"/>
  <c r="H90" i="1" s="1"/>
  <c r="E55" i="1"/>
  <c r="I55" i="1"/>
  <c r="M55" i="1"/>
  <c r="F55" i="1"/>
  <c r="J55" i="1"/>
  <c r="N55" i="1"/>
  <c r="C55" i="1"/>
  <c r="G55" i="1"/>
  <c r="K55" i="1"/>
  <c r="D55" i="1"/>
  <c r="L55" i="1"/>
  <c r="H55" i="1"/>
  <c r="H57" i="1" s="1"/>
  <c r="H59" i="1" s="1"/>
  <c r="E56" i="1"/>
  <c r="I56" i="1"/>
  <c r="M56" i="1"/>
  <c r="F56" i="1"/>
  <c r="J56" i="1"/>
  <c r="N56" i="1"/>
  <c r="C56" i="1"/>
  <c r="G56" i="1"/>
  <c r="K56" i="1"/>
  <c r="D56" i="1"/>
  <c r="H56" i="1"/>
  <c r="L56" i="1"/>
  <c r="C15" i="1"/>
  <c r="D14" i="1"/>
  <c r="F14" i="1" s="1"/>
  <c r="D13" i="1"/>
  <c r="F13" i="1" s="1"/>
  <c r="C89" i="1"/>
  <c r="C91" i="1" s="1"/>
  <c r="B113" i="1"/>
  <c r="E99" i="1"/>
  <c r="F98" i="1"/>
  <c r="C70" i="1"/>
  <c r="E49" i="1"/>
  <c r="E51" i="1" s="1"/>
  <c r="C71" i="1"/>
  <c r="D89" i="1" l="1"/>
  <c r="D91" i="1" s="1"/>
  <c r="C92" i="1"/>
  <c r="K93" i="1" s="1"/>
  <c r="E57" i="1"/>
  <c r="E59" i="1" s="1"/>
  <c r="D71" i="1"/>
  <c r="E71" i="1" s="1"/>
  <c r="G98" i="1"/>
  <c r="G99" i="1" s="1"/>
  <c r="F99" i="1"/>
  <c r="H60" i="1"/>
  <c r="H61" i="1" s="1"/>
  <c r="G57" i="1"/>
  <c r="G59" i="1" s="1"/>
  <c r="F57" i="1"/>
  <c r="F59" i="1" s="1"/>
  <c r="D70" i="1"/>
  <c r="E70" i="1"/>
  <c r="C72" i="1"/>
  <c r="C74" i="1" s="1"/>
  <c r="J57" i="1"/>
  <c r="J59" i="1" s="1"/>
  <c r="L57" i="1"/>
  <c r="L59" i="1" s="1"/>
  <c r="C57" i="1"/>
  <c r="C59" i="1" s="1"/>
  <c r="M57" i="1"/>
  <c r="M59" i="1" s="1"/>
  <c r="F73" i="1"/>
  <c r="G73" i="1" s="1"/>
  <c r="C104" i="1"/>
  <c r="C105" i="1" s="1"/>
  <c r="G104" i="1"/>
  <c r="D15" i="1"/>
  <c r="F15" i="1" s="1"/>
  <c r="F17" i="1" s="1"/>
  <c r="F20" i="1" s="1"/>
  <c r="E104" i="1"/>
  <c r="F104" i="1"/>
  <c r="D104" i="1"/>
  <c r="H104" i="1"/>
  <c r="K57" i="1"/>
  <c r="K59" i="1" s="1"/>
  <c r="D57" i="1"/>
  <c r="D59" i="1" s="1"/>
  <c r="N57" i="1"/>
  <c r="N59" i="1" s="1"/>
  <c r="I57" i="1"/>
  <c r="I59" i="1" s="1"/>
  <c r="F71" i="1" l="1"/>
  <c r="G71" i="1"/>
  <c r="H73" i="1"/>
  <c r="I73" i="1"/>
  <c r="F60" i="1"/>
  <c r="F61" i="1"/>
  <c r="C75" i="1"/>
  <c r="C76" i="1"/>
  <c r="G60" i="1"/>
  <c r="G61" i="1"/>
  <c r="E60" i="1"/>
  <c r="E61" i="1"/>
  <c r="N60" i="1"/>
  <c r="N61" i="1"/>
  <c r="J60" i="1"/>
  <c r="J61" i="1"/>
  <c r="M60" i="1"/>
  <c r="M61" i="1"/>
  <c r="C107" i="1"/>
  <c r="K94" i="1"/>
  <c r="F70" i="1"/>
  <c r="G70" i="1" s="1"/>
  <c r="E72" i="1"/>
  <c r="E74" i="1" s="1"/>
  <c r="D60" i="1"/>
  <c r="D61" i="1"/>
  <c r="C60" i="1"/>
  <c r="C61" i="1" s="1"/>
  <c r="C65" i="1" s="1"/>
  <c r="D62" i="1" s="1"/>
  <c r="I60" i="1"/>
  <c r="I61" i="1"/>
  <c r="K60" i="1"/>
  <c r="K61" i="1" s="1"/>
  <c r="L60" i="1"/>
  <c r="L61" i="1" s="1"/>
  <c r="E89" i="1"/>
  <c r="E91" i="1" s="1"/>
  <c r="G72" i="1" l="1"/>
  <c r="G74" i="1" s="1"/>
  <c r="H70" i="1"/>
  <c r="I70" i="1" s="1"/>
  <c r="F89" i="1"/>
  <c r="F91" i="1" s="1"/>
  <c r="D65" i="1"/>
  <c r="E62" i="1" s="1"/>
  <c r="H71" i="1"/>
  <c r="I71" i="1"/>
  <c r="E65" i="1"/>
  <c r="F62" i="1" s="1"/>
  <c r="F65" i="1" s="1"/>
  <c r="G62" i="1" s="1"/>
  <c r="G65" i="1" s="1"/>
  <c r="H62" i="1" s="1"/>
  <c r="H65" i="1" s="1"/>
  <c r="I62" i="1" s="1"/>
  <c r="I65" i="1" s="1"/>
  <c r="J62" i="1" s="1"/>
  <c r="J65" i="1" s="1"/>
  <c r="K62" i="1" s="1"/>
  <c r="K65" i="1" s="1"/>
  <c r="L62" i="1" s="1"/>
  <c r="L65" i="1" s="1"/>
  <c r="M62" i="1" s="1"/>
  <c r="M65" i="1" s="1"/>
  <c r="N62" i="1" s="1"/>
  <c r="N65" i="1" s="1"/>
  <c r="C68" i="1"/>
  <c r="C81" i="1"/>
  <c r="D103" i="1"/>
  <c r="C80" i="1"/>
  <c r="J73" i="1"/>
  <c r="K73" i="1" s="1"/>
  <c r="E75" i="1"/>
  <c r="E76" i="1" s="1"/>
  <c r="I72" i="1" l="1"/>
  <c r="I74" i="1" s="1"/>
  <c r="J70" i="1"/>
  <c r="K70" i="1" s="1"/>
  <c r="E103" i="1"/>
  <c r="F102" i="1" s="1"/>
  <c r="E68" i="1"/>
  <c r="E81" i="1"/>
  <c r="D109" i="1" s="1"/>
  <c r="D113" i="1" s="1"/>
  <c r="J71" i="1"/>
  <c r="K71" i="1" s="1"/>
  <c r="E77" i="1"/>
  <c r="E80" i="1" s="1"/>
  <c r="D86" i="1"/>
  <c r="D87" i="1" s="1"/>
  <c r="D92" i="1" s="1"/>
  <c r="G76" i="1"/>
  <c r="G75" i="1"/>
  <c r="E102" i="1"/>
  <c r="D105" i="1"/>
  <c r="D107" i="1" s="1"/>
  <c r="G89" i="1"/>
  <c r="G91" i="1" s="1"/>
  <c r="C109" i="1"/>
  <c r="B117" i="1"/>
  <c r="G77" i="1" l="1"/>
  <c r="E86" i="1"/>
  <c r="E87" i="1" s="1"/>
  <c r="E92" i="1" s="1"/>
  <c r="F105" i="1"/>
  <c r="F107" i="1" s="1"/>
  <c r="K72" i="1"/>
  <c r="K74" i="1" s="1"/>
  <c r="I75" i="1"/>
  <c r="I76" i="1"/>
  <c r="G81" i="1"/>
  <c r="E109" i="1" s="1"/>
  <c r="E113" i="1" s="1"/>
  <c r="G80" i="1"/>
  <c r="F103" i="1"/>
  <c r="G102" i="1" s="1"/>
  <c r="G68" i="1"/>
  <c r="H89" i="1"/>
  <c r="H91" i="1" s="1"/>
  <c r="C113" i="1"/>
  <c r="E105" i="1"/>
  <c r="E107" i="1" s="1"/>
  <c r="I80" i="1" l="1"/>
  <c r="G103" i="1"/>
  <c r="I81" i="1"/>
  <c r="F109" i="1" s="1"/>
  <c r="K75" i="1"/>
  <c r="K76" i="1" s="1"/>
  <c r="G105" i="1"/>
  <c r="G107" i="1" s="1"/>
  <c r="F86" i="1"/>
  <c r="F87" i="1" s="1"/>
  <c r="F92" i="1" s="1"/>
  <c r="I77" i="1"/>
  <c r="H102" i="1"/>
  <c r="K81" i="1" l="1"/>
  <c r="G109" i="1" s="1"/>
  <c r="G113" i="1" s="1"/>
  <c r="H103" i="1"/>
  <c r="H105" i="1" s="1"/>
  <c r="H107" i="1" s="1"/>
  <c r="F113" i="1"/>
  <c r="B115" i="1" s="1"/>
  <c r="B110" i="1"/>
  <c r="B112" i="1" s="1"/>
  <c r="K77" i="1"/>
  <c r="K80" i="1" s="1"/>
  <c r="H86" i="1" s="1"/>
  <c r="H87" i="1" s="1"/>
  <c r="H92" i="1" s="1"/>
  <c r="G86" i="1"/>
  <c r="G87" i="1" s="1"/>
  <c r="G92" i="1" s="1"/>
</calcChain>
</file>

<file path=xl/comments1.xml><?xml version="1.0" encoding="utf-8"?>
<comments xmlns="http://schemas.openxmlformats.org/spreadsheetml/2006/main">
  <authors>
    <author>Alberto</author>
  </authors>
  <commentList>
    <comment ref="D33" authorId="0" shape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Nómina de 10,000 pesos c/u</t>
        </r>
      </text>
    </comment>
  </commentList>
</comments>
</file>

<file path=xl/sharedStrings.xml><?xml version="1.0" encoding="utf-8"?>
<sst xmlns="http://schemas.openxmlformats.org/spreadsheetml/2006/main" count="155" uniqueCount="118">
  <si>
    <t>Cantidad</t>
  </si>
  <si>
    <t>Precio Unitario</t>
  </si>
  <si>
    <t>Total</t>
  </si>
  <si>
    <t>Prestamo a corto plazo</t>
  </si>
  <si>
    <t>Capital Social (Acciones)</t>
  </si>
  <si>
    <t>Costo de capital</t>
  </si>
  <si>
    <t>Prestamo a largo plazo (5 años)</t>
  </si>
  <si>
    <t>Inflación</t>
  </si>
  <si>
    <t>Riesgo</t>
  </si>
  <si>
    <t>Trema</t>
  </si>
  <si>
    <t>% de mezcla</t>
  </si>
  <si>
    <t>CCPP (WACC)</t>
  </si>
  <si>
    <t>Depreciación año 1</t>
  </si>
  <si>
    <t>Depreciación año 2</t>
  </si>
  <si>
    <t>Depreciación año 3</t>
  </si>
  <si>
    <t>Depreciación año 4</t>
  </si>
  <si>
    <t>Depreciación año 5</t>
  </si>
  <si>
    <t>Planeación de la Inversión</t>
  </si>
  <si>
    <t>Planeación del Financiamiento</t>
  </si>
  <si>
    <t>Planeación Financiera</t>
  </si>
  <si>
    <t>CC Ponderado</t>
  </si>
  <si>
    <t>Ventas</t>
  </si>
  <si>
    <t>Costos de venta</t>
  </si>
  <si>
    <t>Gastos de operación</t>
  </si>
  <si>
    <t>Renta</t>
  </si>
  <si>
    <t>Total gastos</t>
  </si>
  <si>
    <t>Meses</t>
  </si>
  <si>
    <t>Utilidad</t>
  </si>
  <si>
    <t>Estado de resultados primer año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</si>
  <si>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</si>
  <si>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</si>
  <si>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</si>
  <si>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</si>
  <si>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</si>
  <si>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</si>
  <si>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</si>
  <si>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</si>
  <si>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</si>
  <si>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</si>
  <si>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</si>
  <si>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</si>
  <si>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Costo de ventas</t>
  </si>
  <si>
    <t>Utilidad Bruta</t>
  </si>
  <si>
    <t>Gastos de venta y operación</t>
  </si>
  <si>
    <t>Estado de resultados</t>
  </si>
  <si>
    <t>Utilidad antes de impuestos</t>
  </si>
  <si>
    <t>Impuestos</t>
  </si>
  <si>
    <t>Utilidad neta</t>
  </si>
  <si>
    <t>Estado de resultados por año</t>
  </si>
  <si>
    <t>Año 1</t>
  </si>
  <si>
    <t>Año 2</t>
  </si>
  <si>
    <t>Año 3</t>
  </si>
  <si>
    <t>Año 4</t>
  </si>
  <si>
    <t>Año 5</t>
  </si>
  <si>
    <t>Incremento (10%)</t>
  </si>
  <si>
    <t>Saldo acumulado</t>
  </si>
  <si>
    <t>Depreciacion</t>
  </si>
  <si>
    <t>Pago a capital</t>
  </si>
  <si>
    <t>Saldo Final</t>
  </si>
  <si>
    <t>Pago mensual</t>
  </si>
  <si>
    <t>Estado de situación financiera</t>
  </si>
  <si>
    <t>Activos</t>
  </si>
  <si>
    <t>Año 0</t>
  </si>
  <si>
    <t>Activos circulantes</t>
  </si>
  <si>
    <t>Bancos</t>
  </si>
  <si>
    <t>Total activo circulante</t>
  </si>
  <si>
    <t>Activos fijos</t>
  </si>
  <si>
    <t>Inversión</t>
  </si>
  <si>
    <t>Depreciacion acumulado</t>
  </si>
  <si>
    <t>Valor neto</t>
  </si>
  <si>
    <t>Total Activos</t>
  </si>
  <si>
    <t>Pasivos</t>
  </si>
  <si>
    <t>Pasivo a largo plazo</t>
  </si>
  <si>
    <t>Prestamo a largo plazo</t>
  </si>
  <si>
    <t>Total pasivos</t>
  </si>
  <si>
    <t>Capital</t>
  </si>
  <si>
    <t>Utilidad de ejercios anteriores</t>
  </si>
  <si>
    <t>Utilidad del ejercicio</t>
  </si>
  <si>
    <t>Capital Social</t>
  </si>
  <si>
    <t>Total capital</t>
  </si>
  <si>
    <t>Pasivos + Capital</t>
  </si>
  <si>
    <t>Pasivos a corto plazo</t>
  </si>
  <si>
    <t>VP</t>
  </si>
  <si>
    <t>VPN</t>
  </si>
  <si>
    <t>TIR</t>
  </si>
  <si>
    <t>Tiempo de recuperación de la inversión</t>
  </si>
  <si>
    <t>Telefonos</t>
  </si>
  <si>
    <t>Mensual</t>
  </si>
  <si>
    <t>Anual</t>
  </si>
  <si>
    <t>Pago anual</t>
  </si>
  <si>
    <t>Endeudamiento</t>
  </si>
  <si>
    <t>Apalancamiento</t>
  </si>
  <si>
    <t>Computadoras</t>
  </si>
  <si>
    <t>Sillas</t>
  </si>
  <si>
    <t>Precio de venta</t>
  </si>
  <si>
    <t xml:space="preserve">Ventas Mensuales </t>
  </si>
  <si>
    <t>Costo de venta</t>
  </si>
  <si>
    <t>Proyección de ventas</t>
  </si>
  <si>
    <t>Proyección de costos</t>
  </si>
  <si>
    <t>Escritorios</t>
  </si>
  <si>
    <t>Instalación oficionas</t>
  </si>
  <si>
    <t>Publicidad</t>
  </si>
  <si>
    <t>Sueldo directivo</t>
  </si>
  <si>
    <t>Sueldo operativo</t>
  </si>
  <si>
    <t>Agua</t>
  </si>
  <si>
    <t>Luz</t>
  </si>
  <si>
    <t>Internet + streaming</t>
  </si>
  <si>
    <t>Impresora</t>
  </si>
  <si>
    <t>Papelería</t>
  </si>
  <si>
    <t>Dulces, galletas, café, sodas, cerveza</t>
  </si>
  <si>
    <t>Mantenimiento y promoción del sitio</t>
  </si>
  <si>
    <t>Celulares</t>
  </si>
  <si>
    <t>Gasolina</t>
  </si>
  <si>
    <r>
      <t>Muebles</t>
    </r>
    <r>
      <rPr>
        <sz val="11"/>
        <color rgb="FFFF0000"/>
        <rFont val="Calibri"/>
        <family val="2"/>
        <scheme val="minor"/>
      </rPr>
      <t>*</t>
    </r>
  </si>
  <si>
    <r>
      <t>Pagos (Imagen, alta, legales)</t>
    </r>
    <r>
      <rPr>
        <sz val="11"/>
        <color rgb="FFFF0000"/>
        <rFont val="Calibri"/>
        <family val="2"/>
        <scheme val="minor"/>
      </rPr>
      <t>**</t>
    </r>
  </si>
  <si>
    <t>pe</t>
  </si>
  <si>
    <t>Costo variable</t>
  </si>
  <si>
    <t>Costo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</si>
</sst>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/>
    <xf numFmtId="10" fontId="0" fillId="0" borderId="0" xfId="2" applyNumberFormat="1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0" fillId="2" borderId="0" xfId="0" applyFill="1"/>
    <xf numFmtId="10" fontId="0" fillId="2" borderId="0" xfId="0" applyNumberFormat="1" applyFill="1"/>
    <xf numFmtId="44" fontId="0" fillId="3" borderId="0" xfId="0" applyNumberFormat="1" applyFill="1"/>
    <xf numFmtId="0" fontId="0" fillId="3" borderId="0" xfId="0" applyFill="1"/>
    <xf numFmtId="8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2" applyNumberFormat="1" applyFont="1"/>
    <xf numFmtId="6" fontId="0" fillId="0" borderId="0" xfId="0" applyNumberFormat="1"/>
    <xf numFmtId="44" fontId="2" fillId="0" borderId="0" xfId="1" applyFont="1"/>
    <xf numFmtId="44" fontId="0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44" fontId="8" fillId="0" borderId="0" xfId="0" applyNumberFormat="1" applyFont="1"/>
    <xf numFmtId="44" fontId="8" fillId="0" borderId="0" xfId="1" applyFont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right"/>
    </xf>
    <xf numFmtId="0" fontId="2" fillId="3" borderId="0" xfId="0" applyFont="1" applyFill="1"/>
    <xf numFmtId="44" fontId="0" fillId="3" borderId="0" xfId="1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44" fontId="1" fillId="3" borderId="0" xfId="1" applyFont="1" applyFill="1" applyAlignment="1">
      <alignment horizontal="center" vertical="center" wrapText="1"/>
    </xf>
    <xf numFmtId="10" fontId="0" fillId="3" borderId="0" xfId="2" applyNumberFormat="1" applyFont="1" applyFill="1"/>
    <xf numFmtId="44" fontId="2" fillId="3" borderId="0" xfId="1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17"/>
  <sheetViews>
    <sheetView tabSelected="1" workbookViewId="0">
      <selection activeCell="A39" sqref="A39"/>
    </sheetView>
  </sheetViews>
  <sheetFormatPr baseColWidth="10" defaultRowHeight="15" x14ac:dyDescent="0.25"/>
  <cols>
    <col min="1" max="1" width="3.7109375" customWidth="1"/>
    <col min="2" max="2" width="36.28515625" bestFit="1" customWidth="1"/>
    <col min="3" max="3" width="14.140625" bestFit="1" customWidth="1"/>
    <col min="4" max="4" width="16.5703125" customWidth="1"/>
    <col min="5" max="5" width="15.42578125" customWidth="1"/>
    <col min="6" max="6" width="18.140625" customWidth="1"/>
    <col min="7" max="10" width="17.85546875" bestFit="1" customWidth="1"/>
    <col min="11" max="11" width="14.140625" bestFit="1" customWidth="1"/>
    <col min="12" max="13" width="12.5703125" bestFit="1" customWidth="1"/>
    <col min="14" max="14" width="14.140625" bestFit="1" customWidth="1"/>
  </cols>
  <sheetData>
    <row r="2" spans="2:14" ht="18.75" x14ac:dyDescent="0.3">
      <c r="B2" s="26" t="s">
        <v>17</v>
      </c>
      <c r="C2" s="13"/>
      <c r="D2" s="13"/>
      <c r="E2" s="13"/>
    </row>
    <row r="3" spans="2:14" x14ac:dyDescent="0.25">
      <c r="B3" s="13"/>
      <c r="C3" s="27" t="s">
        <v>0</v>
      </c>
      <c r="D3" s="27" t="s">
        <v>1</v>
      </c>
      <c r="E3" s="27" t="s">
        <v>2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</row>
    <row r="4" spans="2:14" x14ac:dyDescent="0.25">
      <c r="B4" s="13" t="s">
        <v>92</v>
      </c>
      <c r="C4" s="28">
        <v>4</v>
      </c>
      <c r="D4" s="29">
        <v>15000</v>
      </c>
      <c r="E4" s="29">
        <f>C4*D4</f>
        <v>60000</v>
      </c>
      <c r="F4" s="4">
        <f>$E$4*0.3</f>
        <v>18000</v>
      </c>
      <c r="G4" s="4">
        <f t="shared" ref="G4:H4" si="0">$E$4*0.3</f>
        <v>18000</v>
      </c>
      <c r="H4" s="4">
        <f t="shared" si="0"/>
        <v>18000</v>
      </c>
      <c r="I4" s="4">
        <f>E4*0.1</f>
        <v>6000</v>
      </c>
      <c r="J4" s="4"/>
    </row>
    <row r="5" spans="2:14" x14ac:dyDescent="0.25">
      <c r="B5" s="13" t="s">
        <v>93</v>
      </c>
      <c r="C5" s="28">
        <v>4</v>
      </c>
      <c r="D5" s="29">
        <v>1000</v>
      </c>
      <c r="E5" s="29">
        <f>C5*D5</f>
        <v>4000</v>
      </c>
      <c r="F5" s="4">
        <f>$E$5*0.1</f>
        <v>400</v>
      </c>
      <c r="G5" s="4">
        <f>$E$5*0.1</f>
        <v>400</v>
      </c>
      <c r="H5" s="4">
        <f>$E$5*0.1</f>
        <v>400</v>
      </c>
      <c r="I5" s="4">
        <f>$E$5*0.1</f>
        <v>400</v>
      </c>
      <c r="J5" s="4">
        <f>$E$5*0.1</f>
        <v>400</v>
      </c>
    </row>
    <row r="6" spans="2:14" x14ac:dyDescent="0.25">
      <c r="B6" s="13" t="s">
        <v>99</v>
      </c>
      <c r="C6" s="28">
        <v>4</v>
      </c>
      <c r="D6" s="29">
        <v>1500</v>
      </c>
      <c r="E6" s="29">
        <f t="shared" ref="E6:E8" si="1">C6*D6</f>
        <v>6000</v>
      </c>
      <c r="F6" s="4">
        <f>$E$6*0.1</f>
        <v>600</v>
      </c>
      <c r="G6" s="4">
        <f t="shared" ref="G6:J6" si="2">$E$6*0.1</f>
        <v>600</v>
      </c>
      <c r="H6" s="4">
        <f t="shared" si="2"/>
        <v>600</v>
      </c>
      <c r="I6" s="4">
        <f t="shared" si="2"/>
        <v>600</v>
      </c>
      <c r="J6" s="4">
        <f t="shared" si="2"/>
        <v>600</v>
      </c>
    </row>
    <row r="7" spans="2:14" x14ac:dyDescent="0.25">
      <c r="B7" s="13" t="s">
        <v>100</v>
      </c>
      <c r="C7" s="28">
        <v>1</v>
      </c>
      <c r="D7" s="29">
        <v>20000</v>
      </c>
      <c r="E7" s="29">
        <f t="shared" si="1"/>
        <v>20000</v>
      </c>
    </row>
    <row r="8" spans="2:14" x14ac:dyDescent="0.25">
      <c r="B8" s="13" t="s">
        <v>86</v>
      </c>
      <c r="C8" s="28">
        <v>3</v>
      </c>
      <c r="D8" s="29">
        <v>800</v>
      </c>
      <c r="E8" s="29">
        <f t="shared" si="1"/>
        <v>2400</v>
      </c>
      <c r="F8" s="4">
        <f>$E$8*0.1</f>
        <v>240</v>
      </c>
      <c r="G8" s="4">
        <f t="shared" ref="G8:J8" si="3">$E$8*0.1</f>
        <v>240</v>
      </c>
      <c r="H8" s="4">
        <f t="shared" si="3"/>
        <v>240</v>
      </c>
      <c r="I8" s="4">
        <f t="shared" si="3"/>
        <v>240</v>
      </c>
      <c r="J8" s="4">
        <f t="shared" si="3"/>
        <v>240</v>
      </c>
    </row>
    <row r="9" spans="2:14" x14ac:dyDescent="0.25">
      <c r="B9" s="30" t="s">
        <v>2</v>
      </c>
      <c r="C9" s="13"/>
      <c r="D9" s="31"/>
      <c r="E9" s="31">
        <f t="shared" ref="E9:J9" si="4">SUM(E4:E8)</f>
        <v>92400</v>
      </c>
      <c r="F9" s="1">
        <f t="shared" si="4"/>
        <v>19240</v>
      </c>
      <c r="G9" s="1">
        <f t="shared" si="4"/>
        <v>19240</v>
      </c>
      <c r="H9" s="1">
        <f t="shared" si="4"/>
        <v>19240</v>
      </c>
      <c r="I9" s="1">
        <f t="shared" si="4"/>
        <v>7240</v>
      </c>
      <c r="J9" s="1">
        <f t="shared" si="4"/>
        <v>1240</v>
      </c>
    </row>
    <row r="10" spans="2:14" x14ac:dyDescent="0.25">
      <c r="B10" s="13"/>
      <c r="C10" s="13"/>
      <c r="D10" s="13"/>
      <c r="E10" s="13"/>
    </row>
    <row r="11" spans="2:14" ht="18.75" x14ac:dyDescent="0.3">
      <c r="B11" s="26" t="s">
        <v>18</v>
      </c>
      <c r="C11" s="13"/>
    </row>
    <row r="12" spans="2:14" x14ac:dyDescent="0.25">
      <c r="B12" s="13"/>
      <c r="C12" s="27" t="s">
        <v>0</v>
      </c>
      <c r="D12" s="3" t="s">
        <v>10</v>
      </c>
      <c r="E12" s="3" t="s">
        <v>5</v>
      </c>
      <c r="F12" s="3" t="s">
        <v>20</v>
      </c>
      <c r="I12" s="3" t="s">
        <v>59</v>
      </c>
    </row>
    <row r="13" spans="2:14" x14ac:dyDescent="0.25">
      <c r="B13" s="13" t="s">
        <v>3</v>
      </c>
      <c r="C13" s="31">
        <v>15000</v>
      </c>
      <c r="D13" s="5">
        <f>C13/$E$9</f>
        <v>0.16233766233766234</v>
      </c>
      <c r="E13" s="6">
        <v>0.13</v>
      </c>
      <c r="F13" s="7">
        <f>D13*E13</f>
        <v>2.1103896103896104E-2</v>
      </c>
      <c r="I13" s="4">
        <f>C13/12</f>
        <v>1250</v>
      </c>
      <c r="K13" t="s">
        <v>115</v>
      </c>
      <c r="L13" t="s">
        <v>0</v>
      </c>
      <c r="M13" t="s">
        <v>116</v>
      </c>
      <c r="N13" t="s">
        <v>117</v>
      </c>
    </row>
    <row r="14" spans="2:14" x14ac:dyDescent="0.25">
      <c r="B14" s="13" t="s">
        <v>6</v>
      </c>
      <c r="C14" s="31">
        <v>40000</v>
      </c>
      <c r="D14" s="5">
        <f>C14/$E$9</f>
        <v>0.4329004329004329</v>
      </c>
      <c r="E14" s="6">
        <v>0.19</v>
      </c>
      <c r="F14" s="7">
        <f t="shared" ref="F14:F15" si="5">D14*E14</f>
        <v>8.2251082251082255E-2</v>
      </c>
      <c r="I14" s="4">
        <f>C14/60</f>
        <v>666.66666666666663</v>
      </c>
      <c r="N14" s="4"/>
    </row>
    <row r="15" spans="2:14" x14ac:dyDescent="0.25">
      <c r="B15" s="13" t="s">
        <v>4</v>
      </c>
      <c r="C15" s="12">
        <f>E9-C13-C14</f>
        <v>37400</v>
      </c>
      <c r="D15" s="5">
        <f>C15/$E$9</f>
        <v>0.40476190476190477</v>
      </c>
      <c r="E15" s="6">
        <v>0.08</v>
      </c>
      <c r="F15" s="7">
        <f t="shared" si="5"/>
        <v>3.2380952380952385E-2</v>
      </c>
      <c r="H15" t="s">
        <v>2</v>
      </c>
      <c r="I15" s="4">
        <f>I13+I14</f>
        <v>1916.6666666666665</v>
      </c>
    </row>
    <row r="16" spans="2:14" x14ac:dyDescent="0.25">
      <c r="B16" s="13"/>
      <c r="C16" s="13"/>
      <c r="H16" t="s">
        <v>89</v>
      </c>
      <c r="I16" s="4">
        <f>I15*12</f>
        <v>23000</v>
      </c>
    </row>
    <row r="17" spans="2:14" x14ac:dyDescent="0.25">
      <c r="E17" s="10" t="s">
        <v>11</v>
      </c>
      <c r="F17" s="11">
        <f>SUM(F13:F15)</f>
        <v>0.13573593073593077</v>
      </c>
      <c r="L17" s="4"/>
      <c r="N17" s="4"/>
    </row>
    <row r="18" spans="2:14" x14ac:dyDescent="0.25">
      <c r="E18" t="s">
        <v>8</v>
      </c>
      <c r="F18" s="6">
        <v>0.01</v>
      </c>
    </row>
    <row r="19" spans="2:14" x14ac:dyDescent="0.25">
      <c r="E19" t="s">
        <v>7</v>
      </c>
      <c r="F19" s="6">
        <v>0.04</v>
      </c>
    </row>
    <row r="20" spans="2:14" x14ac:dyDescent="0.25">
      <c r="E20" s="10" t="s">
        <v>9</v>
      </c>
      <c r="F20" s="11">
        <f>SUM(F17:F19)</f>
        <v>0.18573593073593078</v>
      </c>
    </row>
    <row r="21" spans="2:14" ht="18.75" x14ac:dyDescent="0.3">
      <c r="B21" s="9" t="s">
        <v>19</v>
      </c>
      <c r="I21" t="s">
        <v>26</v>
      </c>
      <c r="J21">
        <v>12</v>
      </c>
    </row>
    <row r="23" spans="2:14" ht="30" x14ac:dyDescent="0.25">
      <c r="B23" s="32" t="s">
        <v>97</v>
      </c>
      <c r="C23" s="33" t="s">
        <v>95</v>
      </c>
      <c r="D23" s="33" t="s">
        <v>94</v>
      </c>
      <c r="E23" s="33" t="s">
        <v>2</v>
      </c>
      <c r="F23" s="17" t="s">
        <v>88</v>
      </c>
      <c r="G23" s="16"/>
    </row>
    <row r="24" spans="2:14" ht="15" customHeight="1" x14ac:dyDescent="0.25">
      <c r="B24" s="13" t="s">
        <v>101</v>
      </c>
      <c r="C24" s="28">
        <v>70</v>
      </c>
      <c r="D24" s="34">
        <v>4650</v>
      </c>
      <c r="E24" s="31">
        <f>C24*D24</f>
        <v>325500</v>
      </c>
      <c r="F24" s="21">
        <f>E24*$J$21</f>
        <v>3906000</v>
      </c>
      <c r="G24" s="16"/>
    </row>
    <row r="25" spans="2:14" x14ac:dyDescent="0.25">
      <c r="B25" s="13" t="s">
        <v>2</v>
      </c>
      <c r="C25" s="28"/>
      <c r="D25" s="31"/>
      <c r="E25" s="31">
        <f>SUM(E24:E24)</f>
        <v>325500</v>
      </c>
      <c r="F25" s="1">
        <f>SUM(F24:F24)</f>
        <v>3906000</v>
      </c>
      <c r="G25" s="4"/>
      <c r="J25" s="4">
        <f>E47/(4650-1200)</f>
        <v>611.88465100782935</v>
      </c>
    </row>
    <row r="26" spans="2:14" x14ac:dyDescent="0.25">
      <c r="B26" s="13"/>
      <c r="C26" s="13"/>
      <c r="D26" s="13"/>
      <c r="E26" s="12"/>
      <c r="G26" s="4"/>
      <c r="I26" s="4"/>
      <c r="L26">
        <f>611.88*4650</f>
        <v>2845242</v>
      </c>
    </row>
    <row r="27" spans="2:14" ht="30" x14ac:dyDescent="0.25">
      <c r="B27" s="32" t="s">
        <v>98</v>
      </c>
      <c r="C27" s="33" t="s">
        <v>95</v>
      </c>
      <c r="D27" s="33" t="s">
        <v>96</v>
      </c>
      <c r="E27" s="33" t="s">
        <v>2</v>
      </c>
      <c r="F27" s="17" t="s">
        <v>88</v>
      </c>
      <c r="J27" s="19"/>
    </row>
    <row r="28" spans="2:14" x14ac:dyDescent="0.25">
      <c r="B28" s="13" t="s">
        <v>101</v>
      </c>
      <c r="C28" s="28">
        <f>C24</f>
        <v>70</v>
      </c>
      <c r="D28" s="34">
        <v>1200</v>
      </c>
      <c r="E28" s="31">
        <f>C28*D28</f>
        <v>84000</v>
      </c>
      <c r="F28" s="21">
        <f>E28*$J$21</f>
        <v>1008000</v>
      </c>
      <c r="H28" s="4"/>
      <c r="J28" s="19"/>
      <c r="K28">
        <f>611.88*1200</f>
        <v>734256</v>
      </c>
    </row>
    <row r="29" spans="2:14" ht="15" customHeight="1" x14ac:dyDescent="0.25">
      <c r="B29" s="13" t="s">
        <v>22</v>
      </c>
      <c r="C29" s="28"/>
      <c r="D29" s="31"/>
      <c r="E29" s="12">
        <f>SUM(E28:E28)</f>
        <v>84000</v>
      </c>
      <c r="F29" s="1">
        <f>SUM(F28:F28)</f>
        <v>1008000</v>
      </c>
      <c r="J29" s="18"/>
      <c r="K29">
        <v>2111000</v>
      </c>
    </row>
    <row r="30" spans="2:14" x14ac:dyDescent="0.25">
      <c r="B30" s="13"/>
      <c r="C30" s="13"/>
      <c r="D30" s="13"/>
      <c r="E30" s="12"/>
    </row>
    <row r="31" spans="2:14" x14ac:dyDescent="0.25">
      <c r="B31" s="30" t="s">
        <v>23</v>
      </c>
      <c r="C31" s="13"/>
      <c r="D31" s="13"/>
      <c r="E31" s="13"/>
      <c r="K31">
        <f>175916.84/(4650-1200)</f>
        <v>50.990388405797098</v>
      </c>
    </row>
    <row r="32" spans="2:14" x14ac:dyDescent="0.25">
      <c r="B32" s="13"/>
      <c r="C32" s="13"/>
      <c r="D32" s="27" t="s">
        <v>87</v>
      </c>
      <c r="E32" s="27" t="s">
        <v>88</v>
      </c>
      <c r="F32" s="22" t="s">
        <v>50</v>
      </c>
      <c r="G32" s="22" t="s">
        <v>51</v>
      </c>
      <c r="H32" s="22" t="s">
        <v>52</v>
      </c>
      <c r="I32" s="22" t="s">
        <v>53</v>
      </c>
    </row>
    <row r="33" spans="2:11" x14ac:dyDescent="0.25">
      <c r="B33" s="13" t="s">
        <v>24</v>
      </c>
      <c r="C33" s="28">
        <v>1</v>
      </c>
      <c r="D33" s="31">
        <v>21000</v>
      </c>
      <c r="E33" s="31">
        <f t="shared" ref="E33:E46" si="6">D33*$J$21</f>
        <v>252000</v>
      </c>
      <c r="F33" s="23"/>
      <c r="G33" s="24"/>
      <c r="H33" s="24"/>
      <c r="I33" s="23"/>
      <c r="K33">
        <f>K31*4650</f>
        <v>237105.30608695649</v>
      </c>
    </row>
    <row r="34" spans="2:11" x14ac:dyDescent="0.25">
      <c r="B34" s="13" t="s">
        <v>102</v>
      </c>
      <c r="C34" s="28">
        <v>1</v>
      </c>
      <c r="D34" s="31">
        <v>51000</v>
      </c>
      <c r="E34" s="31">
        <f t="shared" si="6"/>
        <v>612000</v>
      </c>
      <c r="F34" s="23"/>
      <c r="G34" s="24"/>
      <c r="H34" s="23"/>
      <c r="I34" s="23"/>
    </row>
    <row r="35" spans="2:11" x14ac:dyDescent="0.25">
      <c r="B35" s="13" t="s">
        <v>103</v>
      </c>
      <c r="C35" s="28">
        <v>3</v>
      </c>
      <c r="D35" s="31">
        <v>24000</v>
      </c>
      <c r="E35" s="31">
        <f t="shared" si="6"/>
        <v>288000</v>
      </c>
      <c r="F35" s="23"/>
      <c r="G35" s="24"/>
      <c r="H35" s="23"/>
      <c r="I35" s="23"/>
    </row>
    <row r="36" spans="2:11" x14ac:dyDescent="0.25">
      <c r="B36" s="13" t="s">
        <v>104</v>
      </c>
      <c r="C36" s="28">
        <v>1</v>
      </c>
      <c r="D36" s="31">
        <v>1200</v>
      </c>
      <c r="E36" s="31">
        <f t="shared" si="6"/>
        <v>14400</v>
      </c>
      <c r="F36" s="23"/>
      <c r="G36" s="23"/>
      <c r="H36" s="23"/>
      <c r="I36" s="23"/>
      <c r="K36">
        <f>1200*K31</f>
        <v>61188.46608695652</v>
      </c>
    </row>
    <row r="37" spans="2:11" x14ac:dyDescent="0.25">
      <c r="B37" s="13" t="s">
        <v>105</v>
      </c>
      <c r="C37" s="28">
        <v>1</v>
      </c>
      <c r="D37" s="31">
        <v>5000</v>
      </c>
      <c r="E37" s="31">
        <f t="shared" si="6"/>
        <v>60000</v>
      </c>
      <c r="F37" s="23"/>
      <c r="G37" s="23"/>
      <c r="H37" s="23"/>
      <c r="I37" s="23"/>
      <c r="K37" s="4">
        <f>+D47</f>
        <v>175916.83716475096</v>
      </c>
    </row>
    <row r="38" spans="2:11" x14ac:dyDescent="0.25">
      <c r="B38" s="13" t="s">
        <v>106</v>
      </c>
      <c r="C38" s="28">
        <v>1</v>
      </c>
      <c r="D38" s="31">
        <v>4949</v>
      </c>
      <c r="E38" s="31">
        <f t="shared" si="6"/>
        <v>59388</v>
      </c>
      <c r="F38" s="23"/>
      <c r="G38" s="23"/>
      <c r="H38" s="23"/>
      <c r="I38" s="23"/>
    </row>
    <row r="39" spans="2:11" x14ac:dyDescent="0.25">
      <c r="B39" s="13" t="s">
        <v>107</v>
      </c>
      <c r="C39" s="28">
        <v>1</v>
      </c>
      <c r="D39" s="31">
        <v>1500</v>
      </c>
      <c r="E39" s="31">
        <f t="shared" si="6"/>
        <v>18000</v>
      </c>
      <c r="F39" s="25">
        <f>G9</f>
        <v>19240</v>
      </c>
      <c r="G39" s="25">
        <f>H9</f>
        <v>19240</v>
      </c>
      <c r="H39" s="25">
        <f>I9</f>
        <v>7240</v>
      </c>
      <c r="I39" s="25">
        <f>J9</f>
        <v>1240</v>
      </c>
    </row>
    <row r="40" spans="2:11" x14ac:dyDescent="0.25">
      <c r="B40" s="13" t="s">
        <v>108</v>
      </c>
      <c r="C40" s="28">
        <v>1</v>
      </c>
      <c r="D40" s="31">
        <v>1500</v>
      </c>
      <c r="E40" s="31">
        <f t="shared" si="6"/>
        <v>18000</v>
      </c>
      <c r="F40" s="1"/>
      <c r="G40" s="1"/>
      <c r="H40" s="1"/>
      <c r="I40" s="1"/>
    </row>
    <row r="41" spans="2:11" x14ac:dyDescent="0.25">
      <c r="B41" s="13" t="s">
        <v>109</v>
      </c>
      <c r="C41" s="28">
        <v>1</v>
      </c>
      <c r="D41" s="31">
        <v>8000</v>
      </c>
      <c r="E41" s="31">
        <f t="shared" si="6"/>
        <v>96000</v>
      </c>
      <c r="F41" s="1"/>
      <c r="G41" s="1"/>
      <c r="H41" s="1"/>
      <c r="I41" s="1"/>
    </row>
    <row r="42" spans="2:11" x14ac:dyDescent="0.25">
      <c r="B42" s="13" t="s">
        <v>110</v>
      </c>
      <c r="C42" s="28">
        <v>1</v>
      </c>
      <c r="D42" s="31">
        <v>22000</v>
      </c>
      <c r="E42" s="31">
        <f t="shared" si="6"/>
        <v>264000</v>
      </c>
      <c r="F42" s="1"/>
      <c r="G42" s="1"/>
      <c r="H42" s="1"/>
      <c r="I42" s="1"/>
    </row>
    <row r="43" spans="2:11" x14ac:dyDescent="0.25">
      <c r="B43" s="13" t="s">
        <v>111</v>
      </c>
      <c r="C43" s="28">
        <v>1</v>
      </c>
      <c r="D43" s="31">
        <v>2500</v>
      </c>
      <c r="E43" s="31">
        <f t="shared" si="6"/>
        <v>30000</v>
      </c>
      <c r="F43" s="1"/>
      <c r="G43" s="1"/>
      <c r="H43" s="1"/>
      <c r="I43" s="1"/>
    </row>
    <row r="44" spans="2:11" x14ac:dyDescent="0.25">
      <c r="B44" s="13" t="s">
        <v>112</v>
      </c>
      <c r="C44" s="28">
        <v>1</v>
      </c>
      <c r="D44" s="31">
        <v>7000</v>
      </c>
      <c r="E44" s="31">
        <f t="shared" si="6"/>
        <v>84000</v>
      </c>
      <c r="F44" s="1"/>
      <c r="G44" s="1"/>
      <c r="H44" s="1"/>
      <c r="I44" s="1"/>
    </row>
    <row r="45" spans="2:11" x14ac:dyDescent="0.25">
      <c r="B45" s="13" t="s">
        <v>113</v>
      </c>
      <c r="C45" s="28">
        <v>1</v>
      </c>
      <c r="D45" s="31">
        <v>17886.611111111109</v>
      </c>
      <c r="E45" s="31">
        <f t="shared" si="6"/>
        <v>214639.33333333331</v>
      </c>
      <c r="F45" s="1"/>
      <c r="G45" s="1"/>
      <c r="H45" s="1"/>
      <c r="I45" s="1"/>
    </row>
    <row r="46" spans="2:11" x14ac:dyDescent="0.25">
      <c r="B46" s="13" t="s">
        <v>114</v>
      </c>
      <c r="C46" s="28">
        <v>1</v>
      </c>
      <c r="D46" s="31">
        <v>8381.226053639848</v>
      </c>
      <c r="E46" s="31">
        <f t="shared" si="6"/>
        <v>100574.71264367818</v>
      </c>
      <c r="F46" s="1"/>
      <c r="G46" s="1"/>
      <c r="H46" s="1"/>
      <c r="I46" s="1"/>
    </row>
    <row r="47" spans="2:11" x14ac:dyDescent="0.25">
      <c r="B47" s="13"/>
      <c r="C47" s="28"/>
      <c r="D47" s="31">
        <f>SUM(D33:D46)</f>
        <v>175916.83716475096</v>
      </c>
      <c r="E47" s="31">
        <f>SUM(E33:E46)</f>
        <v>2111002.0459770113</v>
      </c>
    </row>
    <row r="48" spans="2:11" x14ac:dyDescent="0.25">
      <c r="B48" s="13"/>
      <c r="C48" s="13"/>
      <c r="D48" s="13"/>
      <c r="E48" s="13"/>
    </row>
    <row r="49" spans="2:14" x14ac:dyDescent="0.25">
      <c r="B49" s="13" t="s">
        <v>25</v>
      </c>
      <c r="C49" s="13"/>
      <c r="D49" s="13"/>
      <c r="E49" s="12">
        <f>F29+E47</f>
        <v>3119002.0459770113</v>
      </c>
    </row>
    <row r="50" spans="2:14" x14ac:dyDescent="0.25">
      <c r="B50" s="13"/>
      <c r="C50" s="13"/>
      <c r="D50" s="13"/>
      <c r="E50" s="13"/>
    </row>
    <row r="51" spans="2:14" x14ac:dyDescent="0.25">
      <c r="B51" s="13" t="s">
        <v>27</v>
      </c>
      <c r="C51" s="13"/>
      <c r="D51" s="13"/>
      <c r="E51" s="12">
        <f>F25-E49</f>
        <v>786997.95402298868</v>
      </c>
      <c r="F51" s="4"/>
    </row>
    <row r="52" spans="2:14" x14ac:dyDescent="0.25">
      <c r="B52" s="13"/>
      <c r="C52" s="13"/>
      <c r="D52" s="13"/>
      <c r="E52" s="13"/>
    </row>
    <row r="53" spans="2:14" x14ac:dyDescent="0.25">
      <c r="B53" s="8" t="s">
        <v>44</v>
      </c>
    </row>
    <row r="54" spans="2:14" x14ac:dyDescent="0.25">
      <c r="B54" s="8" t="s">
        <v>28</v>
      </c>
      <c r="C54" s="8" t="s">
        <v>29</v>
      </c>
      <c r="D54" s="8" t="s">
        <v>30</v>
      </c>
      <c r="E54" s="8" t="s">
        <v>31</v>
      </c>
      <c r="F54" s="8" t="s">
        <v>32</v>
      </c>
      <c r="G54" s="8" t="s">
        <v>33</v>
      </c>
      <c r="H54" s="8" t="s">
        <v>34</v>
      </c>
      <c r="I54" s="8" t="s">
        <v>35</v>
      </c>
      <c r="J54" s="8" t="s">
        <v>36</v>
      </c>
      <c r="K54" s="8" t="s">
        <v>37</v>
      </c>
      <c r="L54" s="8" t="s">
        <v>38</v>
      </c>
      <c r="M54" s="8" t="s">
        <v>39</v>
      </c>
      <c r="N54" s="8" t="s">
        <v>40</v>
      </c>
    </row>
    <row r="55" spans="2:14" x14ac:dyDescent="0.25">
      <c r="B55" t="s">
        <v>21</v>
      </c>
      <c r="C55" s="4">
        <f>$E$25</f>
        <v>325500</v>
      </c>
      <c r="D55" s="4">
        <f t="shared" ref="D55:N55" si="7">$E$25</f>
        <v>325500</v>
      </c>
      <c r="E55" s="4">
        <f t="shared" si="7"/>
        <v>325500</v>
      </c>
      <c r="F55" s="4">
        <f t="shared" si="7"/>
        <v>325500</v>
      </c>
      <c r="G55" s="4">
        <f t="shared" si="7"/>
        <v>325500</v>
      </c>
      <c r="H55" s="4">
        <f t="shared" si="7"/>
        <v>325500</v>
      </c>
      <c r="I55" s="4">
        <f t="shared" si="7"/>
        <v>325500</v>
      </c>
      <c r="J55" s="4">
        <f t="shared" si="7"/>
        <v>325500</v>
      </c>
      <c r="K55" s="4">
        <f t="shared" si="7"/>
        <v>325500</v>
      </c>
      <c r="L55" s="4">
        <f t="shared" si="7"/>
        <v>325500</v>
      </c>
      <c r="M55" s="4">
        <f t="shared" si="7"/>
        <v>325500</v>
      </c>
      <c r="N55" s="4">
        <f t="shared" si="7"/>
        <v>325500</v>
      </c>
    </row>
    <row r="56" spans="2:14" x14ac:dyDescent="0.25">
      <c r="B56" t="s">
        <v>41</v>
      </c>
      <c r="C56" s="4">
        <f>$E$29</f>
        <v>84000</v>
      </c>
      <c r="D56" s="4">
        <f t="shared" ref="D56:N56" si="8">$E$29</f>
        <v>84000</v>
      </c>
      <c r="E56" s="4">
        <f t="shared" si="8"/>
        <v>84000</v>
      </c>
      <c r="F56" s="4">
        <f t="shared" si="8"/>
        <v>84000</v>
      </c>
      <c r="G56" s="4">
        <f t="shared" si="8"/>
        <v>84000</v>
      </c>
      <c r="H56" s="4">
        <f t="shared" si="8"/>
        <v>84000</v>
      </c>
      <c r="I56" s="4">
        <f t="shared" si="8"/>
        <v>84000</v>
      </c>
      <c r="J56" s="4">
        <f t="shared" si="8"/>
        <v>84000</v>
      </c>
      <c r="K56" s="4">
        <f t="shared" si="8"/>
        <v>84000</v>
      </c>
      <c r="L56" s="4">
        <f t="shared" si="8"/>
        <v>84000</v>
      </c>
      <c r="M56" s="4">
        <f t="shared" si="8"/>
        <v>84000</v>
      </c>
      <c r="N56" s="4">
        <f t="shared" si="8"/>
        <v>84000</v>
      </c>
    </row>
    <row r="57" spans="2:14" x14ac:dyDescent="0.25">
      <c r="B57" t="s">
        <v>42</v>
      </c>
      <c r="C57" s="4">
        <f>C55-C56</f>
        <v>241500</v>
      </c>
      <c r="D57" s="4">
        <f t="shared" ref="D57:N57" si="9">D55-D56</f>
        <v>241500</v>
      </c>
      <c r="E57" s="4">
        <f t="shared" si="9"/>
        <v>241500</v>
      </c>
      <c r="F57" s="4">
        <f t="shared" si="9"/>
        <v>241500</v>
      </c>
      <c r="G57" s="4">
        <f t="shared" si="9"/>
        <v>241500</v>
      </c>
      <c r="H57" s="4">
        <f t="shared" si="9"/>
        <v>241500</v>
      </c>
      <c r="I57" s="4">
        <f t="shared" si="9"/>
        <v>241500</v>
      </c>
      <c r="J57" s="4">
        <f t="shared" si="9"/>
        <v>241500</v>
      </c>
      <c r="K57" s="4">
        <f t="shared" si="9"/>
        <v>241500</v>
      </c>
      <c r="L57" s="4">
        <f t="shared" si="9"/>
        <v>241500</v>
      </c>
      <c r="M57" s="4">
        <f t="shared" si="9"/>
        <v>241500</v>
      </c>
      <c r="N57" s="4">
        <f t="shared" si="9"/>
        <v>241500</v>
      </c>
    </row>
    <row r="58" spans="2:14" x14ac:dyDescent="0.25">
      <c r="B58" t="s">
        <v>43</v>
      </c>
      <c r="C58" s="4">
        <f t="shared" ref="C58:N58" si="10">$E$47/12</f>
        <v>175916.83716475093</v>
      </c>
      <c r="D58" s="4">
        <f t="shared" si="10"/>
        <v>175916.83716475093</v>
      </c>
      <c r="E58" s="4">
        <f t="shared" si="10"/>
        <v>175916.83716475093</v>
      </c>
      <c r="F58" s="4">
        <f t="shared" si="10"/>
        <v>175916.83716475093</v>
      </c>
      <c r="G58" s="4">
        <f t="shared" si="10"/>
        <v>175916.83716475093</v>
      </c>
      <c r="H58" s="4">
        <f t="shared" si="10"/>
        <v>175916.83716475093</v>
      </c>
      <c r="I58" s="4">
        <f t="shared" si="10"/>
        <v>175916.83716475093</v>
      </c>
      <c r="J58" s="4">
        <f t="shared" si="10"/>
        <v>175916.83716475093</v>
      </c>
      <c r="K58" s="4">
        <f t="shared" si="10"/>
        <v>175916.83716475093</v>
      </c>
      <c r="L58" s="4">
        <f t="shared" si="10"/>
        <v>175916.83716475093</v>
      </c>
      <c r="M58" s="4">
        <f t="shared" si="10"/>
        <v>175916.83716475093</v>
      </c>
      <c r="N58" s="4">
        <f t="shared" si="10"/>
        <v>175916.83716475093</v>
      </c>
    </row>
    <row r="59" spans="2:14" x14ac:dyDescent="0.25">
      <c r="B59" t="s">
        <v>45</v>
      </c>
      <c r="C59" s="4">
        <f>C57-C58</f>
        <v>65583.162835249066</v>
      </c>
      <c r="D59" s="4">
        <f t="shared" ref="D59:N59" si="11">D57-D58</f>
        <v>65583.162835249066</v>
      </c>
      <c r="E59" s="4">
        <f t="shared" si="11"/>
        <v>65583.162835249066</v>
      </c>
      <c r="F59" s="4">
        <f t="shared" si="11"/>
        <v>65583.162835249066</v>
      </c>
      <c r="G59" s="4">
        <f t="shared" si="11"/>
        <v>65583.162835249066</v>
      </c>
      <c r="H59" s="4">
        <f t="shared" si="11"/>
        <v>65583.162835249066</v>
      </c>
      <c r="I59" s="4">
        <f t="shared" si="11"/>
        <v>65583.162835249066</v>
      </c>
      <c r="J59" s="4">
        <f t="shared" si="11"/>
        <v>65583.162835249066</v>
      </c>
      <c r="K59" s="4">
        <f t="shared" si="11"/>
        <v>65583.162835249066</v>
      </c>
      <c r="L59" s="4">
        <f t="shared" si="11"/>
        <v>65583.162835249066</v>
      </c>
      <c r="M59" s="4">
        <f t="shared" si="11"/>
        <v>65583.162835249066</v>
      </c>
      <c r="N59" s="4">
        <f t="shared" si="11"/>
        <v>65583.162835249066</v>
      </c>
    </row>
    <row r="60" spans="2:14" x14ac:dyDescent="0.25">
      <c r="B60" t="s">
        <v>46</v>
      </c>
      <c r="C60" s="4">
        <f>C59*0.3</f>
        <v>19674.948850574718</v>
      </c>
      <c r="D60" s="4">
        <f t="shared" ref="D60:N60" si="12">D59*0.3</f>
        <v>19674.948850574718</v>
      </c>
      <c r="E60" s="4">
        <f t="shared" si="12"/>
        <v>19674.948850574718</v>
      </c>
      <c r="F60" s="4">
        <f t="shared" si="12"/>
        <v>19674.948850574718</v>
      </c>
      <c r="G60" s="4">
        <f t="shared" si="12"/>
        <v>19674.948850574718</v>
      </c>
      <c r="H60" s="4">
        <f t="shared" si="12"/>
        <v>19674.948850574718</v>
      </c>
      <c r="I60" s="4">
        <f t="shared" si="12"/>
        <v>19674.948850574718</v>
      </c>
      <c r="J60" s="4">
        <f t="shared" si="12"/>
        <v>19674.948850574718</v>
      </c>
      <c r="K60" s="4">
        <f t="shared" si="12"/>
        <v>19674.948850574718</v>
      </c>
      <c r="L60" s="4">
        <f t="shared" si="12"/>
        <v>19674.948850574718</v>
      </c>
      <c r="M60" s="4">
        <f t="shared" si="12"/>
        <v>19674.948850574718</v>
      </c>
      <c r="N60" s="4">
        <f t="shared" si="12"/>
        <v>19674.948850574718</v>
      </c>
    </row>
    <row r="61" spans="2:14" x14ac:dyDescent="0.25">
      <c r="B61" t="s">
        <v>47</v>
      </c>
      <c r="C61" s="4">
        <f>C59-C60</f>
        <v>45908.213984674352</v>
      </c>
      <c r="D61" s="4">
        <f t="shared" ref="D61:N61" si="13">D59-D60</f>
        <v>45908.213984674352</v>
      </c>
      <c r="E61" s="4">
        <f t="shared" si="13"/>
        <v>45908.213984674352</v>
      </c>
      <c r="F61" s="4">
        <f t="shared" si="13"/>
        <v>45908.213984674352</v>
      </c>
      <c r="G61" s="4">
        <f t="shared" si="13"/>
        <v>45908.213984674352</v>
      </c>
      <c r="H61" s="4">
        <f t="shared" si="13"/>
        <v>45908.213984674352</v>
      </c>
      <c r="I61" s="4">
        <f t="shared" si="13"/>
        <v>45908.213984674352</v>
      </c>
      <c r="J61" s="4">
        <f t="shared" si="13"/>
        <v>45908.213984674352</v>
      </c>
      <c r="K61" s="4">
        <f t="shared" si="13"/>
        <v>45908.213984674352</v>
      </c>
      <c r="L61" s="4">
        <f t="shared" si="13"/>
        <v>45908.213984674352</v>
      </c>
      <c r="M61" s="4">
        <f t="shared" si="13"/>
        <v>45908.213984674352</v>
      </c>
      <c r="N61" s="4">
        <f t="shared" si="13"/>
        <v>45908.213984674352</v>
      </c>
    </row>
    <row r="62" spans="2:14" x14ac:dyDescent="0.25">
      <c r="B62" t="s">
        <v>55</v>
      </c>
      <c r="C62" s="4">
        <v>0</v>
      </c>
      <c r="D62" s="4">
        <f>C65</f>
        <v>45491.547318007688</v>
      </c>
      <c r="E62" s="4">
        <f t="shared" ref="E62:N62" si="14">D65</f>
        <v>90983.094636015376</v>
      </c>
      <c r="F62" s="4">
        <f t="shared" si="14"/>
        <v>136474.64195402307</v>
      </c>
      <c r="G62" s="4">
        <f t="shared" si="14"/>
        <v>181966.18927203075</v>
      </c>
      <c r="H62" s="4">
        <f t="shared" si="14"/>
        <v>227457.73659003843</v>
      </c>
      <c r="I62" s="4">
        <f t="shared" si="14"/>
        <v>272949.28390804608</v>
      </c>
      <c r="J62" s="4">
        <f t="shared" si="14"/>
        <v>318440.83122605376</v>
      </c>
      <c r="K62" s="4">
        <f t="shared" si="14"/>
        <v>363932.37854406144</v>
      </c>
      <c r="L62" s="4">
        <f t="shared" si="14"/>
        <v>409423.92586206913</v>
      </c>
      <c r="M62" s="4">
        <f t="shared" si="14"/>
        <v>454915.47318007681</v>
      </c>
      <c r="N62" s="4">
        <f t="shared" si="14"/>
        <v>500407.02049808449</v>
      </c>
    </row>
    <row r="63" spans="2:14" x14ac:dyDescent="0.25">
      <c r="B63" t="s">
        <v>56</v>
      </c>
      <c r="C63" s="4">
        <f>$E$39/12</f>
        <v>1500</v>
      </c>
      <c r="D63" s="4">
        <f>$E$39/12</f>
        <v>1500</v>
      </c>
      <c r="E63" s="4">
        <f t="shared" ref="E63:N63" si="15">$E$39/12</f>
        <v>1500</v>
      </c>
      <c r="F63" s="4">
        <f t="shared" si="15"/>
        <v>1500</v>
      </c>
      <c r="G63" s="4">
        <f t="shared" si="15"/>
        <v>1500</v>
      </c>
      <c r="H63" s="4">
        <f t="shared" si="15"/>
        <v>1500</v>
      </c>
      <c r="I63" s="4">
        <f t="shared" si="15"/>
        <v>1500</v>
      </c>
      <c r="J63" s="4">
        <f t="shared" si="15"/>
        <v>1500</v>
      </c>
      <c r="K63" s="4">
        <f t="shared" si="15"/>
        <v>1500</v>
      </c>
      <c r="L63" s="4">
        <f t="shared" si="15"/>
        <v>1500</v>
      </c>
      <c r="M63" s="4">
        <f t="shared" si="15"/>
        <v>1500</v>
      </c>
      <c r="N63" s="4">
        <f t="shared" si="15"/>
        <v>1500</v>
      </c>
    </row>
    <row r="64" spans="2:14" x14ac:dyDescent="0.25">
      <c r="B64" t="s">
        <v>57</v>
      </c>
      <c r="C64" s="4">
        <f>$I$15</f>
        <v>1916.6666666666665</v>
      </c>
      <c r="D64" s="4">
        <f t="shared" ref="D64:N64" si="16">$I$15</f>
        <v>1916.6666666666665</v>
      </c>
      <c r="E64" s="4">
        <f t="shared" si="16"/>
        <v>1916.6666666666665</v>
      </c>
      <c r="F64" s="4">
        <f t="shared" si="16"/>
        <v>1916.6666666666665</v>
      </c>
      <c r="G64" s="4">
        <f t="shared" si="16"/>
        <v>1916.6666666666665</v>
      </c>
      <c r="H64" s="4">
        <f t="shared" si="16"/>
        <v>1916.6666666666665</v>
      </c>
      <c r="I64" s="4">
        <f t="shared" si="16"/>
        <v>1916.6666666666665</v>
      </c>
      <c r="J64" s="4">
        <f t="shared" si="16"/>
        <v>1916.6666666666665</v>
      </c>
      <c r="K64" s="4">
        <f t="shared" si="16"/>
        <v>1916.6666666666665</v>
      </c>
      <c r="L64" s="4">
        <f t="shared" si="16"/>
        <v>1916.6666666666665</v>
      </c>
      <c r="M64" s="4">
        <f t="shared" si="16"/>
        <v>1916.6666666666665</v>
      </c>
      <c r="N64" s="4">
        <f t="shared" si="16"/>
        <v>1916.6666666666665</v>
      </c>
    </row>
    <row r="65" spans="2:14" x14ac:dyDescent="0.25">
      <c r="B65" t="s">
        <v>58</v>
      </c>
      <c r="C65" s="4">
        <f>C61+C62+C63-C64</f>
        <v>45491.547318007688</v>
      </c>
      <c r="D65" s="4">
        <f t="shared" ref="D65:N65" si="17">D61+D62+D63-D64</f>
        <v>90983.094636015376</v>
      </c>
      <c r="E65" s="4">
        <f t="shared" si="17"/>
        <v>136474.64195402307</v>
      </c>
      <c r="F65" s="4">
        <f t="shared" si="17"/>
        <v>181966.18927203075</v>
      </c>
      <c r="G65" s="4">
        <f t="shared" si="17"/>
        <v>227457.73659003843</v>
      </c>
      <c r="H65" s="4">
        <f t="shared" si="17"/>
        <v>272949.28390804608</v>
      </c>
      <c r="I65" s="4">
        <f t="shared" si="17"/>
        <v>318440.83122605376</v>
      </c>
      <c r="J65" s="4">
        <f t="shared" si="17"/>
        <v>363932.37854406144</v>
      </c>
      <c r="K65" s="4">
        <f t="shared" si="17"/>
        <v>409423.92586206913</v>
      </c>
      <c r="L65" s="4">
        <f t="shared" si="17"/>
        <v>454915.47318007681</v>
      </c>
      <c r="M65" s="4">
        <f t="shared" si="17"/>
        <v>500407.02049808449</v>
      </c>
      <c r="N65" s="4">
        <f t="shared" si="17"/>
        <v>545898.56781609217</v>
      </c>
    </row>
    <row r="68" spans="2:14" x14ac:dyDescent="0.25">
      <c r="B68" s="30" t="s">
        <v>48</v>
      </c>
      <c r="C68" s="35">
        <f>C76/C70</f>
        <v>0.14103905986075066</v>
      </c>
      <c r="E68" s="5">
        <f>E76/E70</f>
        <v>0.14103905986075063</v>
      </c>
      <c r="G68" s="5">
        <f>G76/G70</f>
        <v>0.14103905986075066</v>
      </c>
    </row>
    <row r="69" spans="2:14" x14ac:dyDescent="0.25">
      <c r="B69" s="30" t="s">
        <v>28</v>
      </c>
      <c r="C69" s="30" t="s">
        <v>49</v>
      </c>
      <c r="D69" s="8" t="s">
        <v>54</v>
      </c>
      <c r="E69" s="8" t="s">
        <v>50</v>
      </c>
      <c r="F69" s="8" t="s">
        <v>54</v>
      </c>
      <c r="G69" s="8" t="s">
        <v>51</v>
      </c>
      <c r="H69" s="8" t="s">
        <v>54</v>
      </c>
      <c r="I69" s="8" t="s">
        <v>52</v>
      </c>
      <c r="J69" s="8" t="s">
        <v>54</v>
      </c>
      <c r="K69" s="8" t="s">
        <v>53</v>
      </c>
    </row>
    <row r="70" spans="2:14" x14ac:dyDescent="0.25">
      <c r="B70" s="13" t="s">
        <v>21</v>
      </c>
      <c r="C70" s="12">
        <f>F25</f>
        <v>3906000</v>
      </c>
      <c r="D70" s="4">
        <f>C70*0.1</f>
        <v>390600</v>
      </c>
      <c r="E70" s="4">
        <f>C70+D70</f>
        <v>4296600</v>
      </c>
      <c r="F70" s="4">
        <f>E70*0.1</f>
        <v>429660</v>
      </c>
      <c r="G70" s="4">
        <f>E70+F70</f>
        <v>4726260</v>
      </c>
      <c r="H70" s="4">
        <f>G70*0.1</f>
        <v>472626</v>
      </c>
      <c r="I70" s="4">
        <f>G70+H70</f>
        <v>5198886</v>
      </c>
      <c r="J70" s="4">
        <f>I70*0.1</f>
        <v>519888.60000000003</v>
      </c>
      <c r="K70" s="4">
        <f>I70+J70</f>
        <v>5718774.5999999996</v>
      </c>
    </row>
    <row r="71" spans="2:14" x14ac:dyDescent="0.25">
      <c r="B71" s="13" t="s">
        <v>41</v>
      </c>
      <c r="C71" s="12">
        <f>F29</f>
        <v>1008000</v>
      </c>
      <c r="D71" s="4">
        <f>C71*0.1</f>
        <v>100800</v>
      </c>
      <c r="E71" s="4">
        <f>C71+D71</f>
        <v>1108800</v>
      </c>
      <c r="F71" s="4">
        <f>E71*0.1</f>
        <v>110880</v>
      </c>
      <c r="G71" s="4">
        <f>E71+F71</f>
        <v>1219680</v>
      </c>
      <c r="H71" s="4">
        <f>G71*0.1</f>
        <v>121968</v>
      </c>
      <c r="I71" s="4">
        <f>G71+H71</f>
        <v>1341648</v>
      </c>
      <c r="J71" s="4">
        <f>I71*0.1</f>
        <v>134164.80000000002</v>
      </c>
      <c r="K71" s="4">
        <f>I71+J71</f>
        <v>1475812.8</v>
      </c>
    </row>
    <row r="72" spans="2:14" x14ac:dyDescent="0.25">
      <c r="B72" s="13" t="s">
        <v>42</v>
      </c>
      <c r="C72" s="12">
        <f>C70-C71</f>
        <v>2898000</v>
      </c>
      <c r="E72" s="4">
        <f t="shared" ref="E72:K72" si="18">E70-E71</f>
        <v>3187800</v>
      </c>
      <c r="G72" s="4">
        <f t="shared" si="18"/>
        <v>3506580</v>
      </c>
      <c r="I72" s="4">
        <f t="shared" si="18"/>
        <v>3857238</v>
      </c>
      <c r="K72" s="4">
        <f t="shared" si="18"/>
        <v>4242961.8</v>
      </c>
    </row>
    <row r="73" spans="2:14" x14ac:dyDescent="0.25">
      <c r="B73" s="13" t="s">
        <v>43</v>
      </c>
      <c r="C73" s="12">
        <f>E47</f>
        <v>2111002.0459770113</v>
      </c>
      <c r="D73" s="4">
        <f>C73*0.1</f>
        <v>211100.20459770114</v>
      </c>
      <c r="E73" s="4">
        <f>C73+D73</f>
        <v>2322102.2505747126</v>
      </c>
      <c r="F73" s="4">
        <f>E73*0.1</f>
        <v>232210.22505747128</v>
      </c>
      <c r="G73" s="4">
        <f>E73+F73</f>
        <v>2554312.4756321837</v>
      </c>
      <c r="H73" s="4">
        <f>G73*0.1</f>
        <v>255431.24756321838</v>
      </c>
      <c r="I73" s="4">
        <f>G73+H73</f>
        <v>2809743.723195402</v>
      </c>
      <c r="J73" s="4">
        <f>I73*0.1</f>
        <v>280974.37231954018</v>
      </c>
      <c r="K73" s="4">
        <f>I73+J73</f>
        <v>3090718.095514942</v>
      </c>
    </row>
    <row r="74" spans="2:14" x14ac:dyDescent="0.25">
      <c r="B74" s="13" t="s">
        <v>45</v>
      </c>
      <c r="C74" s="12">
        <f>C72-C73</f>
        <v>786997.95402298868</v>
      </c>
      <c r="E74" s="4">
        <f t="shared" ref="E74:K74" si="19">E72-E73</f>
        <v>865697.74942528736</v>
      </c>
      <c r="G74" s="4">
        <f t="shared" si="19"/>
        <v>952267.52436781628</v>
      </c>
      <c r="I74" s="4">
        <f t="shared" si="19"/>
        <v>1047494.276804598</v>
      </c>
      <c r="K74" s="4">
        <f t="shared" si="19"/>
        <v>1152243.7044850579</v>
      </c>
    </row>
    <row r="75" spans="2:14" x14ac:dyDescent="0.25">
      <c r="B75" s="13" t="s">
        <v>46</v>
      </c>
      <c r="C75" s="12">
        <f>C74*0.3</f>
        <v>236099.3862068966</v>
      </c>
      <c r="E75" s="4">
        <f t="shared" ref="E75:K75" si="20">E74*0.3</f>
        <v>259709.32482758618</v>
      </c>
      <c r="G75" s="4">
        <f t="shared" si="20"/>
        <v>285680.2573103449</v>
      </c>
      <c r="I75" s="4">
        <f t="shared" si="20"/>
        <v>314248.28304137941</v>
      </c>
      <c r="K75" s="4">
        <f t="shared" si="20"/>
        <v>345673.11134551733</v>
      </c>
    </row>
    <row r="76" spans="2:14" x14ac:dyDescent="0.25">
      <c r="B76" s="13" t="s">
        <v>47</v>
      </c>
      <c r="C76" s="12">
        <f>C74-C75</f>
        <v>550898.56781609205</v>
      </c>
      <c r="E76" s="4">
        <f t="shared" ref="E76:K76" si="21">E74-E75</f>
        <v>605988.42459770117</v>
      </c>
      <c r="G76" s="4">
        <f t="shared" si="21"/>
        <v>666587.26705747144</v>
      </c>
      <c r="I76" s="4">
        <f t="shared" si="21"/>
        <v>733245.99376321863</v>
      </c>
      <c r="K76" s="4">
        <f t="shared" si="21"/>
        <v>806570.59313954052</v>
      </c>
    </row>
    <row r="77" spans="2:14" x14ac:dyDescent="0.25">
      <c r="B77" s="13" t="s">
        <v>55</v>
      </c>
      <c r="C77" s="12">
        <v>0</v>
      </c>
      <c r="E77" s="4">
        <f>C80</f>
        <v>547138.56781609205</v>
      </c>
      <c r="G77" s="4">
        <f>E80</f>
        <v>1164366.9924137932</v>
      </c>
      <c r="I77" s="4">
        <f>G80</f>
        <v>1842194.2594712647</v>
      </c>
      <c r="K77" s="4">
        <f>I80</f>
        <v>2574680.2532344833</v>
      </c>
    </row>
    <row r="78" spans="2:14" x14ac:dyDescent="0.25">
      <c r="B78" s="13" t="s">
        <v>56</v>
      </c>
      <c r="C78" s="12">
        <f>$F$9</f>
        <v>19240</v>
      </c>
      <c r="E78" s="4">
        <f>$F$9</f>
        <v>19240</v>
      </c>
      <c r="G78" s="4">
        <f>H9</f>
        <v>19240</v>
      </c>
      <c r="I78" s="4">
        <f>I9</f>
        <v>7240</v>
      </c>
      <c r="K78" s="4">
        <f>I39</f>
        <v>1240</v>
      </c>
    </row>
    <row r="79" spans="2:14" x14ac:dyDescent="0.25">
      <c r="B79" s="13" t="s">
        <v>57</v>
      </c>
      <c r="C79" s="12">
        <f>I16</f>
        <v>23000</v>
      </c>
      <c r="E79" s="4">
        <f>$C$14/5</f>
        <v>8000</v>
      </c>
      <c r="G79" s="4">
        <f>$C$14/5</f>
        <v>8000</v>
      </c>
      <c r="I79" s="4">
        <f>$C$14/5</f>
        <v>8000</v>
      </c>
      <c r="K79" s="4">
        <f>$C$14/5</f>
        <v>8000</v>
      </c>
    </row>
    <row r="80" spans="2:14" x14ac:dyDescent="0.25">
      <c r="B80" s="13" t="s">
        <v>58</v>
      </c>
      <c r="C80" s="12">
        <f>C76+C77+C78-C79</f>
        <v>547138.56781609205</v>
      </c>
      <c r="E80" s="4">
        <f>E76+E77+E78-E79</f>
        <v>1164366.9924137932</v>
      </c>
      <c r="G80" s="4">
        <f>G76+G77+G78-G79</f>
        <v>1842194.2594712647</v>
      </c>
      <c r="I80" s="4">
        <f>I76+I77+I78-I79</f>
        <v>2574680.2532344833</v>
      </c>
      <c r="K80" s="4">
        <f>K76+K77+K78-K79</f>
        <v>3374490.8463740237</v>
      </c>
    </row>
    <row r="81" spans="2:11" x14ac:dyDescent="0.25">
      <c r="B81" s="13" t="s">
        <v>82</v>
      </c>
      <c r="C81" s="12">
        <f>C76+C78-C79</f>
        <v>547138.56781609205</v>
      </c>
      <c r="D81" s="13"/>
      <c r="E81" s="12">
        <f>E76+E78-E79</f>
        <v>617228.42459770117</v>
      </c>
      <c r="F81" s="13"/>
      <c r="G81" s="12">
        <f>G76+G78-G79</f>
        <v>677827.26705747144</v>
      </c>
      <c r="H81" s="13"/>
      <c r="I81" s="12">
        <f>I76+I78-I79</f>
        <v>732485.99376321863</v>
      </c>
      <c r="J81" s="13"/>
      <c r="K81" s="12">
        <f>K76+K78-K79</f>
        <v>799810.59313954052</v>
      </c>
    </row>
    <row r="83" spans="2:11" x14ac:dyDescent="0.25">
      <c r="B83" s="13" t="s">
        <v>60</v>
      </c>
      <c r="C83" s="13"/>
    </row>
    <row r="84" spans="2:11" x14ac:dyDescent="0.25">
      <c r="B84" s="30" t="s">
        <v>61</v>
      </c>
      <c r="C84" s="36" t="s">
        <v>62</v>
      </c>
      <c r="D84" s="20" t="s">
        <v>49</v>
      </c>
      <c r="E84" s="20" t="s">
        <v>50</v>
      </c>
      <c r="F84" s="20" t="s">
        <v>51</v>
      </c>
      <c r="G84" s="20" t="s">
        <v>52</v>
      </c>
      <c r="H84" s="20" t="s">
        <v>53</v>
      </c>
    </row>
    <row r="85" spans="2:11" x14ac:dyDescent="0.25">
      <c r="B85" s="13" t="s">
        <v>63</v>
      </c>
      <c r="C85" s="13"/>
      <c r="D85" s="1"/>
      <c r="E85" s="1"/>
      <c r="F85" s="1"/>
      <c r="G85" s="1"/>
      <c r="H85" s="1"/>
    </row>
    <row r="86" spans="2:11" x14ac:dyDescent="0.25">
      <c r="B86" s="13" t="s">
        <v>64</v>
      </c>
      <c r="C86" s="31">
        <v>0</v>
      </c>
      <c r="D86" s="1">
        <f>C80</f>
        <v>547138.56781609205</v>
      </c>
      <c r="E86" s="1">
        <f>E80</f>
        <v>1164366.9924137932</v>
      </c>
      <c r="F86" s="1">
        <f>G80</f>
        <v>1842194.2594712647</v>
      </c>
      <c r="G86" s="1">
        <f>I80</f>
        <v>2574680.2532344833</v>
      </c>
      <c r="H86" s="1">
        <f>K80</f>
        <v>3374490.8463740237</v>
      </c>
    </row>
    <row r="87" spans="2:11" x14ac:dyDescent="0.25">
      <c r="B87" s="13" t="s">
        <v>65</v>
      </c>
      <c r="C87" s="31">
        <f t="shared" ref="C87:H87" si="22">C86</f>
        <v>0</v>
      </c>
      <c r="D87" s="1">
        <f t="shared" si="22"/>
        <v>547138.56781609205</v>
      </c>
      <c r="E87" s="1">
        <f t="shared" si="22"/>
        <v>1164366.9924137932</v>
      </c>
      <c r="F87" s="1">
        <f t="shared" si="22"/>
        <v>1842194.2594712647</v>
      </c>
      <c r="G87" s="1">
        <f t="shared" si="22"/>
        <v>2574680.2532344833</v>
      </c>
      <c r="H87" s="1">
        <f t="shared" si="22"/>
        <v>3374490.8463740237</v>
      </c>
    </row>
    <row r="88" spans="2:11" x14ac:dyDescent="0.25">
      <c r="B88" s="30" t="s">
        <v>66</v>
      </c>
      <c r="C88" s="13"/>
      <c r="D88" s="1"/>
      <c r="F88" s="1"/>
      <c r="G88" s="1"/>
      <c r="H88" s="1"/>
    </row>
    <row r="89" spans="2:11" x14ac:dyDescent="0.25">
      <c r="B89" s="13" t="s">
        <v>67</v>
      </c>
      <c r="C89" s="31">
        <f>E9</f>
        <v>92400</v>
      </c>
      <c r="D89" s="1">
        <f>C91</f>
        <v>92400</v>
      </c>
      <c r="E89" s="1">
        <f t="shared" ref="E89:H89" si="23">D91</f>
        <v>73160</v>
      </c>
      <c r="F89" s="1">
        <f t="shared" si="23"/>
        <v>53920</v>
      </c>
      <c r="G89" s="1">
        <f t="shared" si="23"/>
        <v>34680</v>
      </c>
      <c r="H89" s="1">
        <f t="shared" si="23"/>
        <v>27440</v>
      </c>
    </row>
    <row r="90" spans="2:11" x14ac:dyDescent="0.25">
      <c r="B90" s="13" t="s">
        <v>68</v>
      </c>
      <c r="C90" s="31">
        <v>0</v>
      </c>
      <c r="D90" s="1">
        <f>C78</f>
        <v>19240</v>
      </c>
      <c r="E90" s="1">
        <f>E78</f>
        <v>19240</v>
      </c>
      <c r="F90" s="1">
        <f>G78</f>
        <v>19240</v>
      </c>
      <c r="G90" s="1">
        <f>I78</f>
        <v>7240</v>
      </c>
      <c r="H90" s="1">
        <f>K78</f>
        <v>1240</v>
      </c>
    </row>
    <row r="91" spans="2:11" x14ac:dyDescent="0.25">
      <c r="B91" s="13" t="s">
        <v>69</v>
      </c>
      <c r="C91" s="31">
        <f>C89-C90</f>
        <v>92400</v>
      </c>
      <c r="D91" s="1">
        <f>D89-D90</f>
        <v>73160</v>
      </c>
      <c r="E91" s="1">
        <f t="shared" ref="E91:H91" si="24">E89-E90</f>
        <v>53920</v>
      </c>
      <c r="F91" s="1">
        <f t="shared" si="24"/>
        <v>34680</v>
      </c>
      <c r="G91" s="1">
        <f t="shared" si="24"/>
        <v>27440</v>
      </c>
      <c r="H91" s="1">
        <f t="shared" si="24"/>
        <v>26200</v>
      </c>
    </row>
    <row r="92" spans="2:11" x14ac:dyDescent="0.25">
      <c r="B92" s="30" t="s">
        <v>70</v>
      </c>
      <c r="C92" s="31">
        <f t="shared" ref="C92:H92" si="25">C91+C87</f>
        <v>92400</v>
      </c>
      <c r="D92" s="1">
        <f t="shared" si="25"/>
        <v>620298.56781609205</v>
      </c>
      <c r="E92" s="1">
        <f t="shared" si="25"/>
        <v>1218286.9924137932</v>
      </c>
      <c r="F92" s="1">
        <f t="shared" si="25"/>
        <v>1876874.2594712647</v>
      </c>
      <c r="G92" s="1">
        <f t="shared" si="25"/>
        <v>2602120.2532344833</v>
      </c>
      <c r="H92" s="1">
        <f t="shared" si="25"/>
        <v>3400690.8463740237</v>
      </c>
    </row>
    <row r="93" spans="2:11" x14ac:dyDescent="0.25">
      <c r="B93" s="13"/>
      <c r="C93" s="31"/>
      <c r="D93" s="1"/>
      <c r="E93" s="1"/>
      <c r="F93" s="1"/>
      <c r="G93" s="1"/>
      <c r="H93" s="1"/>
      <c r="J93" t="s">
        <v>90</v>
      </c>
      <c r="K93">
        <f>C99/C92</f>
        <v>0.59523809523809523</v>
      </c>
    </row>
    <row r="94" spans="2:11" x14ac:dyDescent="0.25">
      <c r="B94" s="30" t="s">
        <v>71</v>
      </c>
      <c r="C94" s="31"/>
      <c r="D94" s="1"/>
      <c r="E94" s="1"/>
      <c r="F94" s="1"/>
      <c r="G94" s="1"/>
      <c r="H94" s="1"/>
      <c r="J94" t="s">
        <v>91</v>
      </c>
      <c r="K94">
        <f>C99/C105</f>
        <v>1.4705882352941178</v>
      </c>
    </row>
    <row r="95" spans="2:11" x14ac:dyDescent="0.25">
      <c r="B95" s="30" t="s">
        <v>81</v>
      </c>
      <c r="C95" s="13"/>
    </row>
    <row r="96" spans="2:11" x14ac:dyDescent="0.25">
      <c r="B96" s="13" t="s">
        <v>3</v>
      </c>
      <c r="C96" s="12">
        <f>C13</f>
        <v>15000</v>
      </c>
    </row>
    <row r="97" spans="2:8" x14ac:dyDescent="0.25">
      <c r="B97" s="30" t="s">
        <v>72</v>
      </c>
      <c r="C97" s="31"/>
      <c r="D97" s="1"/>
      <c r="E97" s="1"/>
      <c r="F97" s="1"/>
      <c r="G97" s="1"/>
      <c r="H97" s="1"/>
    </row>
    <row r="98" spans="2:8" x14ac:dyDescent="0.25">
      <c r="B98" s="13" t="s">
        <v>73</v>
      </c>
      <c r="C98" s="31">
        <f>C14</f>
        <v>40000</v>
      </c>
      <c r="D98" s="1">
        <f>C98-($C$14/5)</f>
        <v>32000</v>
      </c>
      <c r="E98" s="1">
        <f>D98-($C$14/5)</f>
        <v>24000</v>
      </c>
      <c r="F98" s="1">
        <f>E98-($C$14/5)</f>
        <v>16000</v>
      </c>
      <c r="G98" s="1">
        <f>F98-($C$14/5)</f>
        <v>8000</v>
      </c>
      <c r="H98" s="1">
        <v>0</v>
      </c>
    </row>
    <row r="99" spans="2:8" x14ac:dyDescent="0.25">
      <c r="B99" s="30" t="s">
        <v>74</v>
      </c>
      <c r="C99" s="31">
        <f>C98+C96</f>
        <v>55000</v>
      </c>
      <c r="D99" s="1">
        <f>SUM(D98:D98)</f>
        <v>32000</v>
      </c>
      <c r="E99" s="1">
        <f>SUM(E98:E98)</f>
        <v>24000</v>
      </c>
      <c r="F99" s="1">
        <f>SUM(F98:F98)</f>
        <v>16000</v>
      </c>
      <c r="G99" s="1">
        <f>SUM(G98:G98)</f>
        <v>8000</v>
      </c>
      <c r="H99" s="1">
        <f>SUM(H98:H98)</f>
        <v>0</v>
      </c>
    </row>
    <row r="100" spans="2:8" x14ac:dyDescent="0.25">
      <c r="B100" s="13"/>
      <c r="C100" s="31"/>
      <c r="D100" s="1"/>
      <c r="E100" s="1"/>
      <c r="F100" s="1"/>
      <c r="G100" s="1"/>
      <c r="H100" s="1"/>
    </row>
    <row r="101" spans="2:8" x14ac:dyDescent="0.25">
      <c r="B101" s="30" t="s">
        <v>75</v>
      </c>
      <c r="C101" s="31"/>
      <c r="D101" s="1"/>
      <c r="E101" s="1"/>
      <c r="F101" s="1"/>
      <c r="G101" s="1"/>
      <c r="H101" s="1"/>
    </row>
    <row r="102" spans="2:8" x14ac:dyDescent="0.25">
      <c r="B102" s="13" t="s">
        <v>76</v>
      </c>
      <c r="C102" s="31"/>
      <c r="D102" s="1">
        <v>0</v>
      </c>
      <c r="E102" s="1">
        <f>D103</f>
        <v>550898.56781609205</v>
      </c>
      <c r="F102" s="1">
        <f>SUM(D103:E103)</f>
        <v>1156886.9924137932</v>
      </c>
      <c r="G102" s="1">
        <f>SUM(D103:F103)</f>
        <v>1823474.2594712647</v>
      </c>
      <c r="H102" s="1">
        <f>SUM(D103:G103)</f>
        <v>2556720.2532344833</v>
      </c>
    </row>
    <row r="103" spans="2:8" x14ac:dyDescent="0.25">
      <c r="B103" s="13" t="s">
        <v>77</v>
      </c>
      <c r="C103" s="31"/>
      <c r="D103" s="1">
        <f>C76</f>
        <v>550898.56781609205</v>
      </c>
      <c r="E103" s="1">
        <f>E76</f>
        <v>605988.42459770117</v>
      </c>
      <c r="F103" s="1">
        <f>G76</f>
        <v>666587.26705747144</v>
      </c>
      <c r="G103" s="1">
        <f>I76</f>
        <v>733245.99376321863</v>
      </c>
      <c r="H103" s="1">
        <f>K76</f>
        <v>806570.59313954052</v>
      </c>
    </row>
    <row r="104" spans="2:8" x14ac:dyDescent="0.25">
      <c r="B104" s="13" t="s">
        <v>78</v>
      </c>
      <c r="C104" s="31">
        <f>$C$15</f>
        <v>37400</v>
      </c>
      <c r="D104" s="1">
        <f t="shared" ref="D104:H104" si="26">$C$15</f>
        <v>37400</v>
      </c>
      <c r="E104" s="1">
        <f t="shared" si="26"/>
        <v>37400</v>
      </c>
      <c r="F104" s="1">
        <f t="shared" si="26"/>
        <v>37400</v>
      </c>
      <c r="G104" s="1">
        <f t="shared" si="26"/>
        <v>37400</v>
      </c>
      <c r="H104" s="1">
        <f t="shared" si="26"/>
        <v>37400</v>
      </c>
    </row>
    <row r="105" spans="2:8" x14ac:dyDescent="0.25">
      <c r="B105" s="30" t="s">
        <v>79</v>
      </c>
      <c r="C105" s="31">
        <f t="shared" ref="C105:H105" si="27">SUM(C102:C104)</f>
        <v>37400</v>
      </c>
      <c r="D105" s="1">
        <f t="shared" si="27"/>
        <v>588298.56781609205</v>
      </c>
      <c r="E105" s="1">
        <f t="shared" si="27"/>
        <v>1194286.9924137932</v>
      </c>
      <c r="F105" s="1">
        <f t="shared" si="27"/>
        <v>1860874.2594712647</v>
      </c>
      <c r="G105" s="1">
        <f t="shared" si="27"/>
        <v>2594120.2532344833</v>
      </c>
      <c r="H105" s="1">
        <f t="shared" si="27"/>
        <v>3400690.8463740237</v>
      </c>
    </row>
    <row r="106" spans="2:8" x14ac:dyDescent="0.25">
      <c r="B106" s="13"/>
      <c r="C106" s="31"/>
      <c r="D106" s="1"/>
      <c r="E106" s="1"/>
      <c r="F106" s="1"/>
      <c r="G106" s="1"/>
      <c r="H106" s="1"/>
    </row>
    <row r="107" spans="2:8" x14ac:dyDescent="0.25">
      <c r="B107" s="30" t="s">
        <v>80</v>
      </c>
      <c r="C107" s="31">
        <f t="shared" ref="C107:H107" si="28">C105+C99</f>
        <v>92400</v>
      </c>
      <c r="D107" s="1">
        <f t="shared" si="28"/>
        <v>620298.56781609205</v>
      </c>
      <c r="E107" s="1">
        <f t="shared" si="28"/>
        <v>1218286.9924137932</v>
      </c>
      <c r="F107" s="1">
        <f t="shared" si="28"/>
        <v>1876874.2594712647</v>
      </c>
      <c r="G107" s="1">
        <f t="shared" si="28"/>
        <v>2602120.2532344833</v>
      </c>
      <c r="H107" s="1">
        <f t="shared" si="28"/>
        <v>3400690.8463740237</v>
      </c>
    </row>
    <row r="108" spans="2:8" x14ac:dyDescent="0.25">
      <c r="C108" s="4"/>
      <c r="D108" s="4"/>
      <c r="E108" s="4"/>
      <c r="F108" s="4"/>
      <c r="G108" s="4"/>
      <c r="H108" s="4"/>
    </row>
    <row r="109" spans="2:8" hidden="1" x14ac:dyDescent="0.25">
      <c r="B109" s="13" t="s">
        <v>82</v>
      </c>
      <c r="C109" s="12">
        <f>C81</f>
        <v>547138.56781609205</v>
      </c>
      <c r="D109" s="12">
        <f>E81</f>
        <v>617228.42459770117</v>
      </c>
      <c r="E109" s="12">
        <f>G81</f>
        <v>677827.26705747144</v>
      </c>
      <c r="F109" s="12">
        <f>I81</f>
        <v>732485.99376321863</v>
      </c>
      <c r="G109" s="12">
        <f>K81</f>
        <v>799810.59313954052</v>
      </c>
    </row>
    <row r="110" spans="2:8" hidden="1" x14ac:dyDescent="0.25">
      <c r="B110" s="14">
        <f>NPV($F$20,$C$109:$G$109)</f>
        <v>2018808.2767450165</v>
      </c>
    </row>
    <row r="111" spans="2:8" hidden="1" x14ac:dyDescent="0.25">
      <c r="B111" t="s">
        <v>83</v>
      </c>
    </row>
    <row r="112" spans="2:8" hidden="1" x14ac:dyDescent="0.25">
      <c r="B112" s="14">
        <f>B110-E9</f>
        <v>1926408.2767450165</v>
      </c>
    </row>
    <row r="113" spans="2:7" hidden="1" x14ac:dyDescent="0.25">
      <c r="B113" s="1">
        <f>-E9</f>
        <v>-92400</v>
      </c>
      <c r="C113" s="1">
        <f>C109</f>
        <v>547138.56781609205</v>
      </c>
      <c r="D113" s="1">
        <f t="shared" ref="D113:G113" si="29">D109</f>
        <v>617228.42459770117</v>
      </c>
      <c r="E113" s="1">
        <f t="shared" si="29"/>
        <v>677827.26705747144</v>
      </c>
      <c r="F113" s="1">
        <f t="shared" si="29"/>
        <v>732485.99376321863</v>
      </c>
      <c r="G113" s="1">
        <f t="shared" si="29"/>
        <v>799810.59313954052</v>
      </c>
    </row>
    <row r="114" spans="2:7" hidden="1" x14ac:dyDescent="0.25">
      <c r="B114" t="s">
        <v>84</v>
      </c>
    </row>
    <row r="115" spans="2:7" hidden="1" x14ac:dyDescent="0.25">
      <c r="B115" s="15">
        <f>IRR(B113:G113)</f>
        <v>6.0438108707670137</v>
      </c>
    </row>
    <row r="116" spans="2:7" hidden="1" x14ac:dyDescent="0.25">
      <c r="B116" t="s">
        <v>85</v>
      </c>
    </row>
    <row r="117" spans="2:7" hidden="1" x14ac:dyDescent="0.25">
      <c r="B117" s="2">
        <f>E9/C81</f>
        <v>0.16887860851925562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2019-04-06T18:52:54Z</dcterms:created>
  <dcterms:modified xsi:type="dcterms:W3CDTF">2019-11-30T03:03:56Z</dcterms:modified>
</cp:coreProperties>
</file>